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75" windowWidth="15480" windowHeight="9645" tabRatio="894" activeTab="0"/>
  </bookViews>
  <sheets>
    <sheet name="Sheet1" sheetId="1" r:id="rId1"/>
  </sheets>
  <definedNames>
    <definedName name="_xlfn.RTD" hidden="1">#NAME?</definedName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<sst xmlns="http://schemas.openxmlformats.org/spreadsheetml/2006/main" count="62" uniqueCount="44">
  <si>
    <t>AMGB1029A250</t>
  </si>
  <si>
    <t>AMGB20172327</t>
  </si>
  <si>
    <t>AMGB2029A366</t>
  </si>
  <si>
    <t>AMGB1029A235</t>
  </si>
  <si>
    <t>AMGB20072287</t>
  </si>
  <si>
    <t>Թողարկման օր</t>
  </si>
  <si>
    <t>Թողարկման համար</t>
  </si>
  <si>
    <t>Թողարկման ծավալ</t>
  </si>
  <si>
    <t>Տեղաբաշխված ծավալ</t>
  </si>
  <si>
    <t>Հետգնում</t>
  </si>
  <si>
    <t>Շրջանառության ծավալ</t>
  </si>
  <si>
    <t>Արժեկտրոնային եկամտաբերություն</t>
  </si>
  <si>
    <t>Միջ. կշռ. եկամտաբերություն</t>
  </si>
  <si>
    <t>Մինչև մարում ժամկետ</t>
  </si>
  <si>
    <t>Մարման օր</t>
  </si>
  <si>
    <t>AMGN60294227</t>
  </si>
  <si>
    <t>AMGB30163472</t>
  </si>
  <si>
    <t>AMGB1029A276</t>
  </si>
  <si>
    <t>ՀՀ պետական գանձապետական երկարաժամկետ և միջին ժամկետայնության արժեկտրոնային ուղենշային պարտատոմսեր</t>
  </si>
  <si>
    <t>ՀՀ պետական գանձապետական երկարաժամկետ և միջին ժամկետայնության արժեկտրոնային  պարտատոմսեր</t>
  </si>
  <si>
    <t>ՀՀ պետական գանձապետական կարճաժամկետ պարտատոմսեր</t>
  </si>
  <si>
    <t>AMGN60294235</t>
  </si>
  <si>
    <t>AMGN60294243</t>
  </si>
  <si>
    <t>AMGN36294228</t>
  </si>
  <si>
    <t>AMGB1029A292</t>
  </si>
  <si>
    <t>AMGN60294250</t>
  </si>
  <si>
    <t>AMGN36294236</t>
  </si>
  <si>
    <t>AMGB3129A504</t>
  </si>
  <si>
    <t>AMGT52315216</t>
  </si>
  <si>
    <t>AMGT52057214</t>
  </si>
  <si>
    <t>AMGT52028215</t>
  </si>
  <si>
    <t>AMGT52139210</t>
  </si>
  <si>
    <t>AMGT5204A216</t>
  </si>
  <si>
    <t>AMGB2029A374</t>
  </si>
  <si>
    <t>AMGT5201B210</t>
  </si>
  <si>
    <t>AMGT5213C213</t>
  </si>
  <si>
    <t>AMGT52171221</t>
  </si>
  <si>
    <t>AMGB1129A316</t>
  </si>
  <si>
    <t>AMGT52311223</t>
  </si>
  <si>
    <t>AMGT52282226</t>
  </si>
  <si>
    <t>AMGT52044220</t>
  </si>
  <si>
    <t>Շրջանառության մեջ առկա շուկայական պարտատոմսերը 2021 թ. մայիսի 5-ի դրությամբ</t>
  </si>
  <si>
    <t>.</t>
  </si>
  <si>
    <t>AMGT52025229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</si>
</sst>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??_);_(@_)"/>
    <numFmt numFmtId="189" formatCode="0.0000%"/>
    <numFmt numFmtId="190" formatCode="_ * #,##0_ ;_ * \-#,##0_ ;_ * &quot;-&quot;??_ ;_ @_ "/>
    <numFmt numFmtId="191" formatCode="0.0%"/>
    <numFmt numFmtId="192" formatCode="_(* #,##0.0_);_(* \(#,##0.0\);_(* &quot;-&quot;??_);_(@_)"/>
    <numFmt numFmtId="193" formatCode="0.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00"/>
    <numFmt numFmtId="199" formatCode="0.00000"/>
    <numFmt numFmtId="200" formatCode="0.00000%"/>
    <numFmt numFmtId="201" formatCode="_(* #,##0.0000000_);_(* \(#,##0.0000000\);_(* &quot;-&quot;??_);_(@_)"/>
    <numFmt numFmtId="202" formatCode="_(* #,##0.0000000000_);_(* \(#,##0.0000000000\);_(* &quot;-&quot;??_);_(@_)"/>
    <numFmt numFmtId="203" formatCode="0.000%"/>
    <numFmt numFmtId="204" formatCode="0.000000"/>
    <numFmt numFmtId="205" formatCode="mmm\-yyyy"/>
    <numFmt numFmtId="206" formatCode="_(* #,##0.0000_);_(* \(#,##0.0000\);_(* &quot;-&quot;????_);_(@_)"/>
    <numFmt numFmtId="207" formatCode="[$-409]dddd\,\ mmmm\ dd\,\ yyyy"/>
    <numFmt numFmtId="208" formatCode="[$-409]d\-mmm\-yy;@"/>
    <numFmt numFmtId="209" formatCode="_(* #,##0.0_);_(* \(#,##0.0\);_(* &quot;-&quot;?_);_(@_)"/>
    <numFmt numFmtId="210" formatCode="[$-409]mmm\-yy;@"/>
    <numFmt numFmtId="211" formatCode="0.0"/>
    <numFmt numFmtId="212" formatCode="_-* #,##0.0_-;\-* #,##0.0_-;_-* &quot;-&quot;?_-;_-@_-"/>
    <numFmt numFmtId="213" formatCode="_-* #,##0.0000_-;\-* #,##0.0000_-;_-* &quot;-&quot;????_-;_-@_-"/>
    <numFmt numFmtId="214" formatCode="_(* #,##0.00000000_);_(* \(#,##0.00000000\);_(* &quot;-&quot;??_);_(@_)"/>
    <numFmt numFmtId="215" formatCode="_(* #,##0.000000000_);_(* \(#,##0.000000000\);_(* &quot;-&quot;??_);_(@_)"/>
    <numFmt numFmtId="216" formatCode="_(* #,##0.00000000000_);_(* \(#,##0.00000000000\);_(* &quot;-&quot;??_);_(@_)"/>
    <numFmt numFmtId="217" formatCode="_(* #,##0.000000000000_);_(* \(#,##0.000000000000\);_(* &quot;-&quot;??_);_(@_)"/>
    <numFmt numFmtId="218" formatCode="_-* #,##0.0000\ _ _-;\-* #,##0.0000\ _ _-;_-* &quot;-&quot;????\ _ _-;_-@_-"/>
    <numFmt numFmtId="219" formatCode="0.000000%"/>
    <numFmt numFmtId="220" formatCode="0.000000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0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4"/>
      <color indexed="10"/>
      <name val="GHEA Grapalat"/>
      <family val="3"/>
    </font>
    <font>
      <b/>
      <sz val="12"/>
      <name val="GHEA Grapalat"/>
      <family val="3"/>
    </font>
    <font>
      <b/>
      <sz val="12"/>
      <color indexed="57"/>
      <name val="GHEA Grapalat"/>
      <family val="3"/>
    </font>
    <font>
      <sz val="12"/>
      <name val="GHEA Grapalat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9"/>
      <name val="GHEA Grapalat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15" fontId="8" fillId="0" borderId="10" xfId="42" applyNumberFormat="1" applyFont="1" applyBorder="1" applyAlignment="1">
      <alignment horizontal="center" vertical="center" wrapText="1"/>
    </xf>
    <xf numFmtId="1" fontId="8" fillId="0" borderId="11" xfId="42" applyNumberFormat="1" applyFont="1" applyBorder="1" applyAlignment="1">
      <alignment horizontal="center" vertical="center" wrapText="1"/>
    </xf>
    <xf numFmtId="188" fontId="8" fillId="0" borderId="12" xfId="42" applyNumberFormat="1" applyFont="1" applyBorder="1" applyAlignment="1">
      <alignment horizontal="center" vertical="center" wrapText="1"/>
    </xf>
    <xf numFmtId="188" fontId="8" fillId="0" borderId="13" xfId="42" applyNumberFormat="1" applyFont="1" applyBorder="1" applyAlignment="1">
      <alignment horizontal="center" vertical="center" wrapText="1"/>
    </xf>
    <xf numFmtId="189" fontId="8" fillId="0" borderId="12" xfId="59" applyNumberFormat="1" applyFont="1" applyBorder="1" applyAlignment="1">
      <alignment horizontal="center" vertical="center" wrapText="1"/>
    </xf>
    <xf numFmtId="15" fontId="8" fillId="0" borderId="14" xfId="42" applyNumberFormat="1" applyFont="1" applyBorder="1" applyAlignment="1">
      <alignment horizontal="center" vertical="center" wrapText="1"/>
    </xf>
    <xf numFmtId="15" fontId="8" fillId="0" borderId="15" xfId="0" applyNumberFormat="1" applyFont="1" applyBorder="1" applyAlignment="1">
      <alignment/>
    </xf>
    <xf numFmtId="15" fontId="8" fillId="0" borderId="16" xfId="0" applyNumberFormat="1" applyFont="1" applyBorder="1" applyAlignment="1">
      <alignment horizontal="center"/>
    </xf>
    <xf numFmtId="188" fontId="8" fillId="0" borderId="17" xfId="42" applyNumberFormat="1" applyFont="1" applyFill="1" applyBorder="1" applyAlignment="1">
      <alignment/>
    </xf>
    <xf numFmtId="188" fontId="8" fillId="0" borderId="17" xfId="42" applyNumberFormat="1" applyFont="1" applyBorder="1" applyAlignment="1">
      <alignment/>
    </xf>
    <xf numFmtId="188" fontId="8" fillId="0" borderId="18" xfId="42" applyNumberFormat="1" applyFont="1" applyBorder="1" applyAlignment="1">
      <alignment/>
    </xf>
    <xf numFmtId="188" fontId="8" fillId="0" borderId="18" xfId="0" applyNumberFormat="1" applyFont="1" applyBorder="1" applyAlignment="1">
      <alignment/>
    </xf>
    <xf numFmtId="189" fontId="8" fillId="0" borderId="18" xfId="0" applyNumberFormat="1" applyFont="1" applyBorder="1" applyAlignment="1">
      <alignment horizontal="center"/>
    </xf>
    <xf numFmtId="189" fontId="8" fillId="0" borderId="18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/>
    </xf>
    <xf numFmtId="15" fontId="8" fillId="0" borderId="19" xfId="0" applyNumberFormat="1" applyFont="1" applyBorder="1" applyAlignment="1">
      <alignment/>
    </xf>
    <xf numFmtId="15" fontId="8" fillId="0" borderId="20" xfId="0" applyNumberFormat="1" applyFont="1" applyBorder="1" applyAlignment="1">
      <alignment/>
    </xf>
    <xf numFmtId="189" fontId="8" fillId="0" borderId="18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5" fontId="9" fillId="0" borderId="21" xfId="0" applyNumberFormat="1" applyFont="1" applyBorder="1" applyAlignment="1">
      <alignment/>
    </xf>
    <xf numFmtId="15" fontId="9" fillId="0" borderId="13" xfId="0" applyNumberFormat="1" applyFont="1" applyBorder="1" applyAlignment="1">
      <alignment/>
    </xf>
    <xf numFmtId="188" fontId="9" fillId="0" borderId="12" xfId="42" applyNumberFormat="1" applyFont="1" applyBorder="1" applyAlignment="1">
      <alignment/>
    </xf>
    <xf numFmtId="188" fontId="5" fillId="0" borderId="12" xfId="42" applyNumberFormat="1" applyFont="1" applyBorder="1" applyAlignment="1">
      <alignment/>
    </xf>
    <xf numFmtId="189" fontId="9" fillId="0" borderId="11" xfId="0" applyNumberFormat="1" applyFont="1" applyBorder="1" applyAlignment="1">
      <alignment/>
    </xf>
    <xf numFmtId="189" fontId="8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15" fontId="9" fillId="0" borderId="14" xfId="0" applyNumberFormat="1" applyFont="1" applyBorder="1" applyAlignment="1">
      <alignment/>
    </xf>
    <xf numFmtId="15" fontId="9" fillId="0" borderId="0" xfId="0" applyNumberFormat="1" applyFont="1" applyBorder="1" applyAlignment="1">
      <alignment/>
    </xf>
    <xf numFmtId="188" fontId="9" fillId="0" borderId="0" xfId="42" applyNumberFormat="1" applyFont="1" applyBorder="1" applyAlignment="1">
      <alignment/>
    </xf>
    <xf numFmtId="188" fontId="5" fillId="0" borderId="0" xfId="42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195" fontId="10" fillId="0" borderId="0" xfId="42" applyNumberFormat="1" applyFont="1" applyAlignment="1">
      <alignment/>
    </xf>
    <xf numFmtId="0" fontId="10" fillId="0" borderId="0" xfId="0" applyFont="1" applyBorder="1" applyAlignment="1">
      <alignment horizontal="center"/>
    </xf>
    <xf numFmtId="188" fontId="6" fillId="0" borderId="0" xfId="42" applyNumberFormat="1" applyFont="1" applyAlignment="1">
      <alignment/>
    </xf>
    <xf numFmtId="189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88" fontId="8" fillId="0" borderId="16" xfId="42" applyNumberFormat="1" applyFont="1" applyBorder="1" applyAlignment="1">
      <alignment/>
    </xf>
    <xf numFmtId="189" fontId="8" fillId="0" borderId="16" xfId="0" applyNumberFormat="1" applyFont="1" applyBorder="1" applyAlignment="1">
      <alignment/>
    </xf>
    <xf numFmtId="189" fontId="8" fillId="0" borderId="0" xfId="59" applyNumberFormat="1" applyFont="1" applyAlignment="1">
      <alignment/>
    </xf>
    <xf numFmtId="43" fontId="7" fillId="0" borderId="0" xfId="0" applyNumberFormat="1" applyFont="1" applyBorder="1" applyAlignment="1">
      <alignment vertical="center" wrapText="1"/>
    </xf>
    <xf numFmtId="188" fontId="8" fillId="0" borderId="16" xfId="0" applyNumberFormat="1" applyFont="1" applyBorder="1" applyAlignment="1">
      <alignment/>
    </xf>
    <xf numFmtId="15" fontId="8" fillId="0" borderId="22" xfId="0" applyNumberFormat="1" applyFont="1" applyBorder="1" applyAlignment="1">
      <alignment/>
    </xf>
    <xf numFmtId="15" fontId="8" fillId="0" borderId="23" xfId="0" applyNumberFormat="1" applyFont="1" applyBorder="1" applyAlignment="1">
      <alignment horizontal="center"/>
    </xf>
    <xf numFmtId="188" fontId="8" fillId="0" borderId="24" xfId="42" applyNumberFormat="1" applyFont="1" applyBorder="1" applyAlignment="1">
      <alignment/>
    </xf>
    <xf numFmtId="189" fontId="8" fillId="0" borderId="24" xfId="0" applyNumberFormat="1" applyFont="1" applyBorder="1" applyAlignment="1">
      <alignment horizontal="center"/>
    </xf>
    <xf numFmtId="189" fontId="8" fillId="0" borderId="24" xfId="0" applyNumberFormat="1" applyFont="1" applyBorder="1" applyAlignment="1">
      <alignment/>
    </xf>
    <xf numFmtId="1" fontId="8" fillId="0" borderId="24" xfId="0" applyNumberFormat="1" applyFont="1" applyBorder="1" applyAlignment="1">
      <alignment/>
    </xf>
    <xf numFmtId="15" fontId="8" fillId="0" borderId="25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15" fontId="8" fillId="0" borderId="26" xfId="0" applyNumberFormat="1" applyFont="1" applyBorder="1" applyAlignment="1">
      <alignment/>
    </xf>
    <xf numFmtId="15" fontId="8" fillId="0" borderId="27" xfId="0" applyNumberFormat="1" applyFont="1" applyBorder="1" applyAlignment="1">
      <alignment/>
    </xf>
    <xf numFmtId="15" fontId="8" fillId="33" borderId="16" xfId="0" applyNumberFormat="1" applyFont="1" applyFill="1" applyBorder="1" applyAlignment="1">
      <alignment horizontal="center"/>
    </xf>
    <xf numFmtId="188" fontId="8" fillId="33" borderId="17" xfId="42" applyNumberFormat="1" applyFont="1" applyFill="1" applyBorder="1" applyAlignment="1">
      <alignment/>
    </xf>
    <xf numFmtId="15" fontId="9" fillId="0" borderId="12" xfId="0" applyNumberFormat="1" applyFont="1" applyBorder="1" applyAlignment="1">
      <alignment/>
    </xf>
    <xf numFmtId="188" fontId="8" fillId="0" borderId="12" xfId="42" applyNumberFormat="1" applyFont="1" applyBorder="1" applyAlignment="1">
      <alignment/>
    </xf>
    <xf numFmtId="15" fontId="8" fillId="0" borderId="21" xfId="42" applyNumberFormat="1" applyFont="1" applyBorder="1" applyAlignment="1">
      <alignment horizontal="center" vertical="center" wrapText="1"/>
    </xf>
    <xf numFmtId="1" fontId="8" fillId="0" borderId="12" xfId="42" applyNumberFormat="1" applyFont="1" applyBorder="1" applyAlignment="1">
      <alignment horizontal="center" vertical="center" wrapText="1"/>
    </xf>
    <xf numFmtId="200" fontId="6" fillId="0" borderId="0" xfId="59" applyNumberFormat="1" applyFont="1" applyAlignment="1">
      <alignment/>
    </xf>
    <xf numFmtId="189" fontId="8" fillId="0" borderId="12" xfId="59" applyNumberFormat="1" applyFont="1" applyBorder="1" applyAlignment="1">
      <alignment/>
    </xf>
    <xf numFmtId="43" fontId="6" fillId="0" borderId="0" xfId="42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33" sqref="A33:IV44"/>
    </sheetView>
  </sheetViews>
  <sheetFormatPr defaultColWidth="9.140625" defaultRowHeight="12.75"/>
  <cols>
    <col min="1" max="1" width="18.57421875" style="2" customWidth="1"/>
    <col min="2" max="2" width="20.57421875" style="2" bestFit="1" customWidth="1"/>
    <col min="3" max="3" width="26.140625" style="2" bestFit="1" customWidth="1"/>
    <col min="4" max="4" width="26.7109375" style="2" customWidth="1"/>
    <col min="5" max="5" width="22.57421875" style="2" customWidth="1"/>
    <col min="6" max="6" width="26.00390625" style="2" customWidth="1"/>
    <col min="7" max="7" width="14.421875" style="2" customWidth="1"/>
    <col min="8" max="8" width="15.28125" style="2" customWidth="1"/>
    <col min="9" max="9" width="11.57421875" style="2" customWidth="1"/>
    <col min="10" max="10" width="14.421875" style="2" bestFit="1" customWidth="1"/>
    <col min="11" max="11" width="17.8515625" style="2" bestFit="1" customWidth="1"/>
    <col min="12" max="12" width="18.140625" style="2" bestFit="1" customWidth="1"/>
    <col min="13" max="16384" width="9.140625" style="2" customWidth="1"/>
  </cols>
  <sheetData>
    <row r="1" spans="1:10" ht="22.5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</row>
    <row r="2" spans="1:9" ht="20.25">
      <c r="A2" s="1" t="s">
        <v>42</v>
      </c>
      <c r="B2" s="1"/>
      <c r="C2" s="1"/>
      <c r="D2" s="1"/>
      <c r="E2" s="1"/>
      <c r="F2" s="1"/>
      <c r="G2" s="1"/>
      <c r="H2" s="1"/>
      <c r="I2" s="1"/>
    </row>
    <row r="3" spans="1:10" ht="18" customHeight="1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21.75" customHeight="1" thickBot="1">
      <c r="A4" s="3"/>
      <c r="B4" s="3"/>
      <c r="C4" s="3"/>
      <c r="D4" s="3"/>
      <c r="E4" s="3"/>
      <c r="F4" s="4"/>
      <c r="G4" s="3"/>
      <c r="H4" s="3"/>
      <c r="I4" s="3"/>
      <c r="J4" s="5">
        <f ca="1">+TODAY()</f>
        <v>44321</v>
      </c>
    </row>
    <row r="5" spans="1:10" ht="48.75" customHeight="1" thickBot="1">
      <c r="A5" s="6" t="s">
        <v>5</v>
      </c>
      <c r="B5" s="7" t="s">
        <v>6</v>
      </c>
      <c r="C5" s="8" t="s">
        <v>7</v>
      </c>
      <c r="D5" s="9" t="s">
        <v>8</v>
      </c>
      <c r="E5" s="8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1" t="s">
        <v>14</v>
      </c>
    </row>
    <row r="6" spans="1:12" ht="21.75" customHeight="1">
      <c r="A6" s="22">
        <v>43950</v>
      </c>
      <c r="B6" s="58" t="s">
        <v>26</v>
      </c>
      <c r="C6" s="59">
        <v>200000000000</v>
      </c>
      <c r="D6" s="15">
        <f>33210000000+15000000000</f>
        <v>48210000000</v>
      </c>
      <c r="E6" s="16"/>
      <c r="F6" s="17">
        <f aca="true" t="shared" si="0" ref="F6:F11">+D6-E6</f>
        <v>48210000000</v>
      </c>
      <c r="G6" s="18">
        <v>0.065</v>
      </c>
      <c r="H6" s="19">
        <v>0.0698391306782825</v>
      </c>
      <c r="I6" s="20">
        <f>+J6-$J$4</f>
        <v>724</v>
      </c>
      <c r="J6" s="21">
        <v>45045</v>
      </c>
      <c r="L6" s="66"/>
    </row>
    <row r="7" spans="1:12" ht="21.75" customHeight="1">
      <c r="A7" s="22">
        <v>43584</v>
      </c>
      <c r="B7" s="13" t="s">
        <v>22</v>
      </c>
      <c r="C7" s="14">
        <v>200000000000</v>
      </c>
      <c r="D7" s="15">
        <f>7200000000+5000000000+195000000+5000000000+12000000000+2380000000</f>
        <v>31775000000</v>
      </c>
      <c r="E7" s="16"/>
      <c r="F7" s="17">
        <f>+D7-E7</f>
        <v>31775000000</v>
      </c>
      <c r="G7" s="18">
        <v>0.08</v>
      </c>
      <c r="H7" s="23">
        <v>0.0731510380802518</v>
      </c>
      <c r="I7" s="20">
        <f>J7-$J$4</f>
        <v>1090</v>
      </c>
      <c r="J7" s="21">
        <v>45411</v>
      </c>
      <c r="L7" s="39"/>
    </row>
    <row r="8" spans="1:12" ht="21.75" customHeight="1">
      <c r="A8" s="22">
        <v>43950</v>
      </c>
      <c r="B8" s="58" t="s">
        <v>25</v>
      </c>
      <c r="C8" s="59">
        <v>200000000000</v>
      </c>
      <c r="D8" s="15">
        <f>51869500000+16500000000</f>
        <v>68369500000</v>
      </c>
      <c r="E8" s="16"/>
      <c r="F8" s="17">
        <f t="shared" si="0"/>
        <v>68369500000</v>
      </c>
      <c r="G8" s="18">
        <v>0.07</v>
      </c>
      <c r="H8" s="23">
        <v>0.0743087444181982</v>
      </c>
      <c r="I8" s="20">
        <f>+J8-$J$4</f>
        <v>1455</v>
      </c>
      <c r="J8" s="21">
        <v>45776</v>
      </c>
      <c r="L8" s="66"/>
    </row>
    <row r="9" spans="1:12" ht="21.75" customHeight="1">
      <c r="A9" s="22">
        <v>43584</v>
      </c>
      <c r="B9" s="58" t="s">
        <v>24</v>
      </c>
      <c r="C9" s="59">
        <v>200000000000</v>
      </c>
      <c r="D9" s="15">
        <v>166761459000</v>
      </c>
      <c r="E9" s="16">
        <f>3000000000+5000000000</f>
        <v>8000000000</v>
      </c>
      <c r="F9" s="17">
        <f t="shared" si="0"/>
        <v>158761459000</v>
      </c>
      <c r="G9" s="18">
        <v>0.09</v>
      </c>
      <c r="H9" s="23">
        <v>0.0848774826485123</v>
      </c>
      <c r="I9" s="20">
        <f>+J9-$J$4</f>
        <v>3099</v>
      </c>
      <c r="J9" s="21">
        <v>47420</v>
      </c>
      <c r="L9" s="66"/>
    </row>
    <row r="10" spans="1:12" ht="21.75" customHeight="1">
      <c r="A10" s="22">
        <v>42489</v>
      </c>
      <c r="B10" s="58" t="s">
        <v>2</v>
      </c>
      <c r="C10" s="59">
        <v>80000000000</v>
      </c>
      <c r="D10" s="15">
        <v>80000000000</v>
      </c>
      <c r="E10" s="16">
        <f>4500000000+1500000000</f>
        <v>6000000000</v>
      </c>
      <c r="F10" s="17">
        <f t="shared" si="0"/>
        <v>74000000000</v>
      </c>
      <c r="G10" s="18">
        <v>0.13</v>
      </c>
      <c r="H10" s="23">
        <v>0.150342702702703</v>
      </c>
      <c r="I10" s="20">
        <f>+J10-$J$4</f>
        <v>5656</v>
      </c>
      <c r="J10" s="21">
        <v>49977</v>
      </c>
      <c r="L10" s="66"/>
    </row>
    <row r="11" spans="1:12" ht="21.75" customHeight="1" thickBot="1">
      <c r="A11" s="22">
        <v>43767</v>
      </c>
      <c r="B11" s="58" t="s">
        <v>27</v>
      </c>
      <c r="C11" s="59">
        <v>200000000000</v>
      </c>
      <c r="D11" s="15">
        <f>74209262000+25200000000+997530000</f>
        <v>100406792000</v>
      </c>
      <c r="E11" s="16"/>
      <c r="F11" s="17">
        <f t="shared" si="0"/>
        <v>100406792000</v>
      </c>
      <c r="G11" s="18">
        <v>0.0975</v>
      </c>
      <c r="H11" s="23">
        <v>0.0978720875137809</v>
      </c>
      <c r="I11" s="20">
        <f>+J11-$J$4</f>
        <v>10769</v>
      </c>
      <c r="J11" s="21">
        <v>55090</v>
      </c>
      <c r="L11" s="66"/>
    </row>
    <row r="12" spans="1:10" ht="33.75" customHeight="1" thickBot="1">
      <c r="A12" s="25"/>
      <c r="B12" s="26"/>
      <c r="C12" s="26"/>
      <c r="D12" s="27"/>
      <c r="E12" s="27"/>
      <c r="F12" s="28">
        <f>SUM(F6:F11)</f>
        <v>481522751000</v>
      </c>
      <c r="G12" s="29"/>
      <c r="H12" s="30">
        <f>SUMPRODUCT(F6:F11,H6:H11)/F12</f>
        <v>0.09386768464783718</v>
      </c>
      <c r="I12" s="31"/>
      <c r="J12" s="32"/>
    </row>
    <row r="14" spans="1:10" ht="20.25">
      <c r="A14" s="68" t="s">
        <v>19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1.75" customHeight="1" thickBot="1">
      <c r="A15" s="38"/>
      <c r="B15" s="38"/>
      <c r="C15" s="38"/>
      <c r="D15" s="38"/>
      <c r="E15" s="38"/>
      <c r="F15" s="38"/>
      <c r="G15" s="38"/>
      <c r="H15" s="38"/>
      <c r="I15" s="33"/>
      <c r="J15" s="37"/>
    </row>
    <row r="16" spans="1:10" ht="50.25" customHeight="1" thickBot="1">
      <c r="A16" s="6" t="s">
        <v>5</v>
      </c>
      <c r="B16" s="7" t="s">
        <v>6</v>
      </c>
      <c r="C16" s="8" t="s">
        <v>7</v>
      </c>
      <c r="D16" s="9" t="s">
        <v>8</v>
      </c>
      <c r="E16" s="8" t="s">
        <v>9</v>
      </c>
      <c r="F16" s="10" t="s">
        <v>10</v>
      </c>
      <c r="G16" s="10" t="s">
        <v>11</v>
      </c>
      <c r="H16" s="10" t="s">
        <v>12</v>
      </c>
      <c r="I16" s="10" t="s">
        <v>13</v>
      </c>
      <c r="J16" s="11" t="s">
        <v>14</v>
      </c>
    </row>
    <row r="17" spans="1:12" ht="21.75" customHeight="1">
      <c r="A17" s="22">
        <v>43584</v>
      </c>
      <c r="B17" s="58" t="s">
        <v>23</v>
      </c>
      <c r="C17" s="59">
        <v>200000000000</v>
      </c>
      <c r="D17" s="15">
        <v>27150000000</v>
      </c>
      <c r="E17" s="16"/>
      <c r="F17" s="17">
        <f aca="true" t="shared" si="1" ref="F17:F27">+D17-E17</f>
        <v>27150000000</v>
      </c>
      <c r="G17" s="18">
        <v>0.075</v>
      </c>
      <c r="H17" s="23">
        <v>0.0679655119705341</v>
      </c>
      <c r="I17" s="20">
        <f>+J17-$J$4</f>
        <v>359</v>
      </c>
      <c r="J17" s="21">
        <v>44680</v>
      </c>
      <c r="L17" s="66"/>
    </row>
    <row r="18" spans="1:10" ht="21.75" customHeight="1">
      <c r="A18" s="22">
        <v>42854</v>
      </c>
      <c r="B18" s="13" t="s">
        <v>15</v>
      </c>
      <c r="C18" s="14">
        <v>200000000000</v>
      </c>
      <c r="D18" s="15">
        <f>10000000000+1873000000+5000000000+910000000+3495000000+3500000000+2827000000+8000000000+1220000000+22000000+4690000000+8162400000</f>
        <v>49699400000</v>
      </c>
      <c r="E18" s="16">
        <v>1500000000</v>
      </c>
      <c r="F18" s="17">
        <f t="shared" si="1"/>
        <v>48199400000</v>
      </c>
      <c r="G18" s="18">
        <v>0.09</v>
      </c>
      <c r="H18" s="19">
        <v>0.0869394043535812</v>
      </c>
      <c r="I18" s="20">
        <f aca="true" t="shared" si="2" ref="I18:I27">J18-$J$4</f>
        <v>359</v>
      </c>
      <c r="J18" s="21">
        <v>44680</v>
      </c>
    </row>
    <row r="19" spans="1:10" ht="21.75" customHeight="1">
      <c r="A19" s="22">
        <v>43219</v>
      </c>
      <c r="B19" s="13" t="s">
        <v>21</v>
      </c>
      <c r="C19" s="14">
        <v>200000000000</v>
      </c>
      <c r="D19" s="15">
        <f>8120000000+6000000000+716600000+8056000000+8390000000</f>
        <v>31282600000</v>
      </c>
      <c r="E19" s="16">
        <f>1500000000+500000000+2000000000</f>
        <v>4000000000</v>
      </c>
      <c r="F19" s="17">
        <f t="shared" si="1"/>
        <v>27282600000</v>
      </c>
      <c r="G19" s="18">
        <v>0.08</v>
      </c>
      <c r="H19" s="23">
        <v>0.0854885602985053</v>
      </c>
      <c r="I19" s="20">
        <f t="shared" si="2"/>
        <v>724</v>
      </c>
      <c r="J19" s="21">
        <v>45045</v>
      </c>
    </row>
    <row r="20" spans="1:12" ht="21.75" customHeight="1">
      <c r="A20" s="12">
        <v>41576</v>
      </c>
      <c r="B20" s="13" t="s">
        <v>3</v>
      </c>
      <c r="C20" s="14">
        <v>50000000000</v>
      </c>
      <c r="D20" s="15">
        <f>2000000000+3000000000+4000000000+2000000000+1625000000+2000000000+3000000000</f>
        <v>17625000000</v>
      </c>
      <c r="E20" s="16">
        <f>1500000000+1000000000+500000000+1000000000</f>
        <v>4000000000</v>
      </c>
      <c r="F20" s="17">
        <f t="shared" si="1"/>
        <v>13625000000</v>
      </c>
      <c r="G20" s="18">
        <v>0.1</v>
      </c>
      <c r="H20" s="23">
        <v>0.128445798165138</v>
      </c>
      <c r="I20" s="20">
        <f t="shared" si="2"/>
        <v>907</v>
      </c>
      <c r="J20" s="21">
        <v>45228</v>
      </c>
      <c r="L20" s="39"/>
    </row>
    <row r="21" spans="1:10" ht="21.75" customHeight="1">
      <c r="A21" s="22">
        <v>42306</v>
      </c>
      <c r="B21" s="13" t="s">
        <v>0</v>
      </c>
      <c r="C21" s="14">
        <v>50000000000</v>
      </c>
      <c r="D21" s="15">
        <f>4000000000+2488000000+3000000000+5000000000+5000000000+6000000000+2500000000+4000000000+5000000000+787200000+4799000000</f>
        <v>42574200000</v>
      </c>
      <c r="E21" s="16">
        <f>1000000000+1000000000+1000000000+1194780000</f>
        <v>4194780000</v>
      </c>
      <c r="F21" s="17">
        <f t="shared" si="1"/>
        <v>38379420000</v>
      </c>
      <c r="G21" s="18">
        <v>0.11</v>
      </c>
      <c r="H21" s="23">
        <v>0.141077185341519</v>
      </c>
      <c r="I21" s="20">
        <f t="shared" si="2"/>
        <v>1638</v>
      </c>
      <c r="J21" s="21">
        <v>45959</v>
      </c>
    </row>
    <row r="22" spans="1:12" ht="21.75" customHeight="1">
      <c r="A22" s="22">
        <v>43037</v>
      </c>
      <c r="B22" s="13" t="s">
        <v>17</v>
      </c>
      <c r="C22" s="14">
        <v>200000000000</v>
      </c>
      <c r="D22" s="15">
        <f>12000000000+15000000000+2370000000+5900000000+15000000000+150000000</f>
        <v>50420000000</v>
      </c>
      <c r="E22" s="16">
        <f>2000000000+1000000000+1000000000</f>
        <v>4000000000</v>
      </c>
      <c r="F22" s="17">
        <f t="shared" si="1"/>
        <v>46420000000</v>
      </c>
      <c r="G22" s="18">
        <v>0.1</v>
      </c>
      <c r="H22" s="23">
        <v>0.0974494694097372</v>
      </c>
      <c r="I22" s="20">
        <f t="shared" si="2"/>
        <v>2368</v>
      </c>
      <c r="J22" s="21">
        <v>46689</v>
      </c>
      <c r="L22" s="39"/>
    </row>
    <row r="23" spans="1:10" ht="21.75" customHeight="1">
      <c r="A23" s="12">
        <v>39485</v>
      </c>
      <c r="B23" s="13" t="s">
        <v>4</v>
      </c>
      <c r="C23" s="14">
        <v>80000000000</v>
      </c>
      <c r="D23" s="16">
        <v>32120090000</v>
      </c>
      <c r="E23" s="16">
        <f>5250000000+750000000+1500000000+750000000+750000000+3000000000+1000000000+430000000+1000000000+1000000000</f>
        <v>15430000000</v>
      </c>
      <c r="F23" s="17">
        <f t="shared" si="1"/>
        <v>16690090000</v>
      </c>
      <c r="G23" s="18">
        <v>0.11</v>
      </c>
      <c r="H23" s="19">
        <v>0.161296866412943</v>
      </c>
      <c r="I23" s="20">
        <f t="shared" si="2"/>
        <v>2469</v>
      </c>
      <c r="J23" s="21">
        <v>46790</v>
      </c>
    </row>
    <row r="24" spans="1:10" ht="21.75" customHeight="1">
      <c r="A24" s="22">
        <v>44133</v>
      </c>
      <c r="B24" s="13" t="s">
        <v>37</v>
      </c>
      <c r="C24" s="14">
        <v>500000000000</v>
      </c>
      <c r="D24" s="15">
        <f>22518200000+100000000</f>
        <v>22618200000</v>
      </c>
      <c r="E24" s="16"/>
      <c r="F24" s="17">
        <f t="shared" si="1"/>
        <v>22618200000</v>
      </c>
      <c r="G24" s="18">
        <v>0.08</v>
      </c>
      <c r="H24" s="19">
        <v>0.096814</v>
      </c>
      <c r="I24" s="20">
        <f t="shared" si="2"/>
        <v>3829</v>
      </c>
      <c r="J24" s="21">
        <v>48150</v>
      </c>
    </row>
    <row r="25" spans="1:12" ht="21.75" customHeight="1">
      <c r="A25" s="22">
        <v>40956</v>
      </c>
      <c r="B25" s="13" t="s">
        <v>1</v>
      </c>
      <c r="C25" s="14">
        <v>80000000000</v>
      </c>
      <c r="D25" s="15">
        <f>10000000000+12500000000+5000000000+5000000000+5000000000+5000000000+2000000000+3000000000+4000000000+2000000000+4000000000+5000000000+5000000000+2000000000</f>
        <v>69500000000</v>
      </c>
      <c r="E25" s="16">
        <f>1000000000+1000000000+1000000000+3000000000+3000000000+3000000000+1000000000+2000000000+2500000000+2000000000+2000000000+2000000000+2000000000+2000000000+2000000000+1500000000+1000000000+1000000000+1000000000</f>
        <v>34000000000</v>
      </c>
      <c r="F25" s="17">
        <f t="shared" si="1"/>
        <v>35500000000</v>
      </c>
      <c r="G25" s="18">
        <v>0.13</v>
      </c>
      <c r="H25" s="19">
        <v>0.177846211267606</v>
      </c>
      <c r="I25" s="20">
        <f t="shared" si="2"/>
        <v>3940</v>
      </c>
      <c r="J25" s="21">
        <v>48261</v>
      </c>
      <c r="L25" s="24"/>
    </row>
    <row r="26" spans="1:12" ht="21.75" customHeight="1">
      <c r="A26" s="22">
        <v>42854</v>
      </c>
      <c r="B26" s="13" t="s">
        <v>33</v>
      </c>
      <c r="C26" s="14">
        <v>200000000000</v>
      </c>
      <c r="D26" s="15">
        <f>30045000000+44845000000</f>
        <v>74890000000</v>
      </c>
      <c r="E26" s="16"/>
      <c r="F26" s="17">
        <f t="shared" si="1"/>
        <v>74890000000</v>
      </c>
      <c r="G26" s="18">
        <v>0.125</v>
      </c>
      <c r="H26" s="23">
        <v>0.0942174421151021</v>
      </c>
      <c r="I26" s="20">
        <f t="shared" si="2"/>
        <v>6021</v>
      </c>
      <c r="J26" s="21">
        <v>50342</v>
      </c>
      <c r="L26" s="24"/>
    </row>
    <row r="27" spans="1:10" ht="21.75" customHeight="1" thickBot="1">
      <c r="A27" s="48">
        <v>42810</v>
      </c>
      <c r="B27" s="49" t="s">
        <v>16</v>
      </c>
      <c r="C27" s="14">
        <v>200000000000</v>
      </c>
      <c r="D27" s="50">
        <f>21000000000+4200000000+20000000000+1740000000+22000000+24000000000+1510000+25000000000+4415300000+75940000+25245655000</f>
        <v>125700405000</v>
      </c>
      <c r="E27" s="50">
        <v>5000000000</v>
      </c>
      <c r="F27" s="17">
        <f t="shared" si="1"/>
        <v>120700405000</v>
      </c>
      <c r="G27" s="51">
        <v>0.13</v>
      </c>
      <c r="H27" s="52">
        <v>0.120366081752294</v>
      </c>
      <c r="I27" s="53">
        <f t="shared" si="2"/>
        <v>9446</v>
      </c>
      <c r="J27" s="54">
        <v>53767</v>
      </c>
    </row>
    <row r="28" spans="1:10" ht="21.75" customHeight="1" thickBot="1">
      <c r="A28" s="25"/>
      <c r="B28" s="26"/>
      <c r="C28" s="26"/>
      <c r="D28" s="27"/>
      <c r="E28" s="27"/>
      <c r="F28" s="28">
        <f>SUM(F17:F27)</f>
        <v>471455115000</v>
      </c>
      <c r="G28" s="40"/>
      <c r="H28" s="30">
        <f>SUMPRODUCT(F17:F27,H17:H27)/F28</f>
        <v>0.11206945347863077</v>
      </c>
      <c r="I28" s="41"/>
      <c r="J28" s="32"/>
    </row>
    <row r="29" spans="1:12" ht="21.75" customHeight="1">
      <c r="A29" s="33"/>
      <c r="B29" s="33"/>
      <c r="C29" s="33"/>
      <c r="D29" s="34"/>
      <c r="E29" s="34"/>
      <c r="F29" s="35">
        <f>+F28+F12</f>
        <v>952977866000</v>
      </c>
      <c r="G29" s="36"/>
      <c r="H29" s="45">
        <f>(H28*F28+H12*F12)/F29</f>
        <v>0.10287242371207607</v>
      </c>
      <c r="I29" s="33"/>
      <c r="J29" s="37"/>
      <c r="K29" s="64"/>
      <c r="L29" s="24"/>
    </row>
    <row r="30" spans="1:10" ht="21.75" customHeight="1">
      <c r="A30" s="68" t="s">
        <v>20</v>
      </c>
      <c r="B30" s="68"/>
      <c r="C30" s="68"/>
      <c r="D30" s="68"/>
      <c r="E30" s="68"/>
      <c r="F30" s="68"/>
      <c r="G30" s="68"/>
      <c r="H30" s="68"/>
      <c r="I30" s="46"/>
      <c r="J30" s="37"/>
    </row>
    <row r="31" spans="1:11" ht="21.75" customHeight="1" thickBot="1">
      <c r="A31" s="42"/>
      <c r="B31" s="42"/>
      <c r="C31" s="42"/>
      <c r="D31" s="42"/>
      <c r="E31" s="42"/>
      <c r="F31" s="42"/>
      <c r="G31" s="42"/>
      <c r="H31" s="42"/>
      <c r="I31" s="35"/>
      <c r="J31" s="37"/>
      <c r="K31" s="55"/>
    </row>
    <row r="32" spans="1:8" ht="52.5" thickBot="1">
      <c r="A32" s="62" t="s">
        <v>5</v>
      </c>
      <c r="B32" s="63" t="s">
        <v>6</v>
      </c>
      <c r="C32" s="8" t="s">
        <v>8</v>
      </c>
      <c r="D32" s="8" t="s">
        <v>9</v>
      </c>
      <c r="E32" s="10" t="s">
        <v>10</v>
      </c>
      <c r="F32" s="10" t="s">
        <v>12</v>
      </c>
      <c r="G32" s="10" t="s">
        <v>13</v>
      </c>
      <c r="H32" s="11" t="s">
        <v>14</v>
      </c>
    </row>
    <row r="33" spans="1:11" ht="20.25" customHeight="1">
      <c r="A33" s="56">
        <v>43983</v>
      </c>
      <c r="B33" s="13" t="s">
        <v>28</v>
      </c>
      <c r="C33" s="43">
        <f>1250000000+1379200000</f>
        <v>2629200000</v>
      </c>
      <c r="D33" s="43"/>
      <c r="E33" s="47">
        <v>3629200000</v>
      </c>
      <c r="F33" s="44">
        <v>0.059036719607627026</v>
      </c>
      <c r="G33" s="20">
        <f aca="true" t="shared" si="3" ref="G33:G44">+H33-$J$4</f>
        <v>26</v>
      </c>
      <c r="H33" s="57">
        <v>44347</v>
      </c>
      <c r="I33" s="24"/>
      <c r="K33" s="39"/>
    </row>
    <row r="34" spans="1:11" ht="20.25" customHeight="1">
      <c r="A34" s="56">
        <v>44018</v>
      </c>
      <c r="B34" s="13" t="s">
        <v>29</v>
      </c>
      <c r="C34" s="43">
        <f>2000000000+1000000000</f>
        <v>3000000000</v>
      </c>
      <c r="D34" s="43"/>
      <c r="E34" s="47">
        <f aca="true" t="shared" si="4" ref="E34:E44">+C34-D34</f>
        <v>3000000000</v>
      </c>
      <c r="F34" s="44">
        <v>0.056728</v>
      </c>
      <c r="G34" s="20">
        <f t="shared" si="3"/>
        <v>61</v>
      </c>
      <c r="H34" s="57">
        <v>44382</v>
      </c>
      <c r="I34" s="24"/>
      <c r="K34" s="39"/>
    </row>
    <row r="35" spans="1:11" ht="20.25" customHeight="1">
      <c r="A35" s="56">
        <v>44046</v>
      </c>
      <c r="B35" s="13" t="s">
        <v>30</v>
      </c>
      <c r="C35" s="43">
        <f>3000000000+1420000000+1000000000</f>
        <v>5420000000</v>
      </c>
      <c r="D35" s="43"/>
      <c r="E35" s="47">
        <f t="shared" si="4"/>
        <v>5420000000</v>
      </c>
      <c r="F35" s="44">
        <v>0.05886377859778598</v>
      </c>
      <c r="G35" s="20">
        <f t="shared" si="3"/>
        <v>89</v>
      </c>
      <c r="H35" s="57">
        <v>44410</v>
      </c>
      <c r="I35" s="24"/>
      <c r="K35" s="39"/>
    </row>
    <row r="36" spans="1:11" ht="20.25" customHeight="1">
      <c r="A36" s="56">
        <v>44088</v>
      </c>
      <c r="B36" s="13" t="s">
        <v>31</v>
      </c>
      <c r="C36" s="43">
        <f>3000000000+375000000</f>
        <v>3375000000</v>
      </c>
      <c r="D36" s="43"/>
      <c r="E36" s="47">
        <f t="shared" si="4"/>
        <v>3375000000</v>
      </c>
      <c r="F36" s="44">
        <v>0.057119555555555555</v>
      </c>
      <c r="G36" s="20">
        <f t="shared" si="3"/>
        <v>131</v>
      </c>
      <c r="H36" s="57">
        <v>44452</v>
      </c>
      <c r="I36" s="24"/>
      <c r="K36" s="39"/>
    </row>
    <row r="37" spans="1:11" ht="20.25" customHeight="1">
      <c r="A37" s="48">
        <v>44109</v>
      </c>
      <c r="B37" s="13" t="s">
        <v>32</v>
      </c>
      <c r="C37" s="50">
        <f>2530000000+1000000000</f>
        <v>3530000000</v>
      </c>
      <c r="D37" s="50"/>
      <c r="E37" s="47">
        <f t="shared" si="4"/>
        <v>3530000000</v>
      </c>
      <c r="F37" s="52">
        <v>0.05985831444759207</v>
      </c>
      <c r="G37" s="53">
        <f t="shared" si="3"/>
        <v>152</v>
      </c>
      <c r="H37" s="54">
        <v>44473</v>
      </c>
      <c r="I37" s="24"/>
      <c r="K37" s="39"/>
    </row>
    <row r="38" spans="1:11" ht="20.25" customHeight="1">
      <c r="A38" s="56">
        <v>44137</v>
      </c>
      <c r="B38" s="13" t="s">
        <v>34</v>
      </c>
      <c r="C38" s="43">
        <f>2454700000+3000000000</f>
        <v>5454700000</v>
      </c>
      <c r="D38" s="43"/>
      <c r="E38" s="47">
        <f t="shared" si="4"/>
        <v>5454700000</v>
      </c>
      <c r="F38" s="44">
        <v>0.0646328423011348</v>
      </c>
      <c r="G38" s="20">
        <f t="shared" si="3"/>
        <v>181</v>
      </c>
      <c r="H38" s="57">
        <v>44502</v>
      </c>
      <c r="I38" s="24"/>
      <c r="K38" s="39"/>
    </row>
    <row r="39" spans="1:11" ht="20.25" customHeight="1">
      <c r="A39" s="56">
        <v>44179</v>
      </c>
      <c r="B39" s="13" t="s">
        <v>35</v>
      </c>
      <c r="C39" s="43">
        <f>310000000+3000000000</f>
        <v>3310000000</v>
      </c>
      <c r="D39" s="43"/>
      <c r="E39" s="47">
        <f t="shared" si="4"/>
        <v>3310000000</v>
      </c>
      <c r="F39" s="44">
        <v>0.06863288217522659</v>
      </c>
      <c r="G39" s="20">
        <f t="shared" si="3"/>
        <v>222</v>
      </c>
      <c r="H39" s="57">
        <v>44543</v>
      </c>
      <c r="I39" s="24"/>
      <c r="K39" s="39"/>
    </row>
    <row r="40" spans="1:11" ht="20.25" customHeight="1">
      <c r="A40" s="56">
        <v>44214</v>
      </c>
      <c r="B40" s="13" t="s">
        <v>36</v>
      </c>
      <c r="C40" s="43">
        <f>1300000000+3000000000</f>
        <v>4300000000</v>
      </c>
      <c r="D40" s="43"/>
      <c r="E40" s="47">
        <f t="shared" si="4"/>
        <v>4300000000</v>
      </c>
      <c r="F40" s="44">
        <v>0.06874379069767442</v>
      </c>
      <c r="G40" s="20">
        <f t="shared" si="3"/>
        <v>257</v>
      </c>
      <c r="H40" s="57">
        <v>44578</v>
      </c>
      <c r="I40" s="24"/>
      <c r="K40" s="39"/>
    </row>
    <row r="41" spans="1:11" ht="20.25" customHeight="1">
      <c r="A41" s="56">
        <v>44228</v>
      </c>
      <c r="B41" s="13" t="s">
        <v>38</v>
      </c>
      <c r="C41" s="43">
        <f>3000000000+3000000000</f>
        <v>6000000000</v>
      </c>
      <c r="D41" s="43"/>
      <c r="E41" s="47">
        <f t="shared" si="4"/>
        <v>6000000000</v>
      </c>
      <c r="F41" s="44">
        <v>0.0690675</v>
      </c>
      <c r="G41" s="20">
        <f t="shared" si="3"/>
        <v>271</v>
      </c>
      <c r="H41" s="57">
        <v>44592</v>
      </c>
      <c r="I41" s="24"/>
      <c r="K41" s="39"/>
    </row>
    <row r="42" spans="1:11" ht="20.25" customHeight="1">
      <c r="A42" s="56">
        <v>44256</v>
      </c>
      <c r="B42" s="13" t="s">
        <v>39</v>
      </c>
      <c r="C42" s="43">
        <v>3000000000</v>
      </c>
      <c r="D42" s="43"/>
      <c r="E42" s="47">
        <f t="shared" si="4"/>
        <v>3000000000</v>
      </c>
      <c r="F42" s="44">
        <v>0.069414</v>
      </c>
      <c r="G42" s="20">
        <f t="shared" si="3"/>
        <v>299</v>
      </c>
      <c r="H42" s="57">
        <v>44620</v>
      </c>
      <c r="I42" s="24"/>
      <c r="K42" s="39"/>
    </row>
    <row r="43" spans="1:11" ht="20.25" customHeight="1">
      <c r="A43" s="56">
        <v>44291</v>
      </c>
      <c r="B43" s="13" t="s">
        <v>40</v>
      </c>
      <c r="C43" s="43">
        <v>3000000000</v>
      </c>
      <c r="D43" s="43"/>
      <c r="E43" s="47">
        <f t="shared" si="4"/>
        <v>3000000000</v>
      </c>
      <c r="F43" s="44">
        <v>0.069392</v>
      </c>
      <c r="G43" s="20">
        <f t="shared" si="3"/>
        <v>334</v>
      </c>
      <c r="H43" s="57">
        <v>44655</v>
      </c>
      <c r="I43" s="24"/>
      <c r="K43" s="39"/>
    </row>
    <row r="44" spans="1:11" ht="20.25" customHeight="1" thickBot="1">
      <c r="A44" s="48">
        <v>44319</v>
      </c>
      <c r="B44" s="13" t="s">
        <v>43</v>
      </c>
      <c r="C44" s="43">
        <v>3000000000</v>
      </c>
      <c r="D44" s="50"/>
      <c r="E44" s="47">
        <f t="shared" si="4"/>
        <v>3000000000</v>
      </c>
      <c r="F44" s="52">
        <v>0.069933</v>
      </c>
      <c r="G44" s="53">
        <f t="shared" si="3"/>
        <v>362</v>
      </c>
      <c r="H44" s="54">
        <v>44683</v>
      </c>
      <c r="I44" s="24"/>
      <c r="K44" s="39"/>
    </row>
    <row r="45" spans="1:9" ht="32.25" customHeight="1" thickBot="1">
      <c r="A45" s="25"/>
      <c r="B45" s="60"/>
      <c r="C45" s="27"/>
      <c r="D45" s="27"/>
      <c r="E45" s="61">
        <f>SUM(E33:E44)</f>
        <v>47018900000</v>
      </c>
      <c r="F45" s="65">
        <f>SUMPRODUCT(E33:E44,F33:F44)/E45</f>
        <v>0.06430409894106412</v>
      </c>
      <c r="G45" s="41"/>
      <c r="H45" s="32"/>
      <c r="I45" s="24"/>
    </row>
    <row r="46" ht="18" customHeight="1">
      <c r="E46" s="55"/>
    </row>
    <row r="48" spans="5:6" ht="17.25">
      <c r="E48" s="47">
        <v>4420000000</v>
      </c>
      <c r="F48" s="44">
        <v>0.05742187330316742</v>
      </c>
    </row>
    <row r="49" spans="5:6" ht="17.25">
      <c r="E49" s="47">
        <v>1000000000</v>
      </c>
      <c r="F49" s="44">
        <v>0.065237</v>
      </c>
    </row>
    <row r="50" spans="5:6" ht="17.25">
      <c r="E50" s="47">
        <f>SUM(E48:E49)</f>
        <v>5420000000</v>
      </c>
      <c r="F50" s="44">
        <f>+SUMPRODUCT(E48:E49,F48:F49)/E50</f>
        <v>0.05886377859778598</v>
      </c>
    </row>
  </sheetData>
  <sheetProtection/>
  <mergeCells count="4">
    <mergeCell ref="A1:J1"/>
    <mergeCell ref="A30:H30"/>
    <mergeCell ref="A3:J3"/>
    <mergeCell ref="A14:J14"/>
  </mergeCells>
  <printOptions/>
  <pageMargins left="0.22" right="0.16" top="0.16" bottom="0.17" header="0.16" footer="0.16"/>
  <pageSetup horizontalDpi="600" verticalDpi="600" orientation="landscape" scale="70" r:id="rId1"/>
  <ignoredErrors>
    <ignoredError sqref="I17 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KHKristine</dc:creator>
  <cp:keywords/>
  <dc:description/>
  <cp:lastModifiedBy>Kristine Khachatryan</cp:lastModifiedBy>
  <cp:lastPrinted>2021-03-16T05:56:49Z</cp:lastPrinted>
  <dcterms:created xsi:type="dcterms:W3CDTF">2010-12-10T08:12:32Z</dcterms:created>
  <dcterms:modified xsi:type="dcterms:W3CDTF">2021-05-05T07:41:48Z</dcterms:modified>
  <cp:category/>
  <cp:version/>
  <cp:contentType/>
  <cp:contentStatus/>
</cp:coreProperties>
</file>